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pqld.sharepoint.com/sites/DESIOCECEPDAP/Shared Documents/Data Requests and Products/Open Data/2024 Open Data/"/>
    </mc:Choice>
  </mc:AlternateContent>
  <xr:revisionPtr revIDLastSave="0" documentId="13_ncr:201_{994F24BA-DFAB-452D-A87B-A00E43085C31}" xr6:coauthVersionLast="47" xr6:coauthVersionMax="47" xr10:uidLastSave="{00000000-0000-0000-0000-000000000000}"/>
  <bookViews>
    <workbookView xWindow="33795" yWindow="2250" windowWidth="21600" windowHeight="11295" xr2:uid="{DBE4AC44-93AC-4A0A-8C22-492B887DD5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F68" i="1" s="1"/>
  <c r="F65" i="1"/>
  <c r="E65" i="1"/>
  <c r="D65" i="1"/>
  <c r="D68" i="1" s="1"/>
  <c r="C65" i="1"/>
  <c r="B65" i="1"/>
  <c r="B68" i="1" s="1"/>
  <c r="H63" i="1"/>
  <c r="H62" i="1"/>
  <c r="H61" i="1"/>
  <c r="H60" i="1"/>
  <c r="H59" i="1"/>
  <c r="B59" i="1"/>
  <c r="H58" i="1"/>
  <c r="B58" i="1"/>
  <c r="H57" i="1"/>
  <c r="B57" i="1"/>
  <c r="B56" i="1"/>
  <c r="H56" i="1" s="1"/>
  <c r="H55" i="1"/>
  <c r="H54" i="1"/>
  <c r="B54" i="1"/>
  <c r="B53" i="1"/>
  <c r="H53" i="1" s="1"/>
  <c r="H52" i="1"/>
  <c r="B52" i="1"/>
  <c r="H51" i="1"/>
  <c r="B50" i="1"/>
  <c r="H50" i="1" s="1"/>
  <c r="B49" i="1"/>
  <c r="H49" i="1" s="1"/>
  <c r="B48" i="1"/>
  <c r="H48" i="1" s="1"/>
  <c r="H47" i="1"/>
  <c r="C47" i="1"/>
  <c r="H46" i="1"/>
  <c r="H45" i="1"/>
  <c r="H44" i="1"/>
  <c r="H43" i="1"/>
  <c r="H42" i="1"/>
  <c r="H41" i="1"/>
  <c r="H40" i="1"/>
  <c r="H39" i="1"/>
  <c r="H38" i="1"/>
  <c r="C38" i="1"/>
  <c r="B38" i="1"/>
  <c r="C37" i="1"/>
  <c r="B37" i="1"/>
  <c r="H37" i="1" s="1"/>
  <c r="H36" i="1"/>
  <c r="H35" i="1"/>
  <c r="B34" i="1"/>
  <c r="H34" i="1" s="1"/>
  <c r="B33" i="1"/>
  <c r="H33" i="1" s="1"/>
  <c r="H32" i="1"/>
  <c r="B32" i="1"/>
  <c r="B31" i="1"/>
  <c r="H31" i="1" s="1"/>
  <c r="H30" i="1"/>
  <c r="B30" i="1"/>
  <c r="B29" i="1"/>
  <c r="H29" i="1" s="1"/>
  <c r="H28" i="1"/>
  <c r="H27" i="1"/>
  <c r="H26" i="1"/>
  <c r="H25" i="1"/>
  <c r="H24" i="1"/>
  <c r="H23" i="1"/>
  <c r="B22" i="1"/>
  <c r="H22" i="1" s="1"/>
  <c r="H21" i="1"/>
  <c r="H20" i="1"/>
  <c r="B19" i="1"/>
  <c r="H19" i="1" s="1"/>
  <c r="H18" i="1"/>
  <c r="H17" i="1"/>
  <c r="H16" i="1"/>
  <c r="H15" i="1"/>
  <c r="H14" i="1"/>
  <c r="H13" i="1"/>
  <c r="H12" i="1"/>
  <c r="B12" i="1"/>
  <c r="B11" i="1"/>
  <c r="H11" i="1" s="1"/>
  <c r="H10" i="1"/>
  <c r="H9" i="1"/>
  <c r="B8" i="1"/>
  <c r="H8" i="1" s="1"/>
  <c r="B7" i="1"/>
  <c r="H7" i="1" s="1"/>
  <c r="B6" i="1"/>
  <c r="H6" i="1" s="1"/>
  <c r="D5" i="1"/>
  <c r="H5" i="1" s="1"/>
  <c r="B5" i="1"/>
  <c r="H65" i="1" l="1"/>
  <c r="B69" i="1"/>
  <c r="D69" i="1"/>
  <c r="F69" i="1"/>
</calcChain>
</file>

<file path=xl/sharedStrings.xml><?xml version="1.0" encoding="utf-8"?>
<sst xmlns="http://schemas.openxmlformats.org/spreadsheetml/2006/main" count="75" uniqueCount="75">
  <si>
    <t>Waste Materials Recovered by Destination during 2023-24 (tonnes)</t>
  </si>
  <si>
    <t>Material</t>
  </si>
  <si>
    <t>Quantity recovered or sent for recovery  in Queensland*</t>
  </si>
  <si>
    <t>Quantity converted to energy in Queensland</t>
  </si>
  <si>
    <t>Quantity sent interstate  for further processing</t>
  </si>
  <si>
    <t>Quantity sent interstate for energy recovery</t>
  </si>
  <si>
    <t>Quantity sent overseas  for further processing</t>
  </si>
  <si>
    <t>Quantity sent overseas for energy recovery</t>
  </si>
  <si>
    <t>2024 Total Diverted from disposal</t>
  </si>
  <si>
    <t>Packaging glass</t>
  </si>
  <si>
    <t>Non packaging glass</t>
  </si>
  <si>
    <t>Paper</t>
  </si>
  <si>
    <t>Cardboard</t>
  </si>
  <si>
    <t>Liquid Paperboard</t>
  </si>
  <si>
    <t>PET Plastic (1)</t>
  </si>
  <si>
    <t>HDPE Plastic (2)</t>
  </si>
  <si>
    <t>PVC Plastic (3)</t>
  </si>
  <si>
    <t>LDPE Plastic (4)</t>
  </si>
  <si>
    <t>PP Plastic (5)</t>
  </si>
  <si>
    <t>PS Plastic (6)</t>
  </si>
  <si>
    <t>Other/Mixed Plastic</t>
  </si>
  <si>
    <t>Mixed Paper and Packaging</t>
  </si>
  <si>
    <t>Steel cans</t>
  </si>
  <si>
    <t>Other ferrous metals</t>
  </si>
  <si>
    <t>Aluminium cans</t>
  </si>
  <si>
    <t>Other Aluminium</t>
  </si>
  <si>
    <t>Other nonferrous metals</t>
  </si>
  <si>
    <t>Lead acid batteries</t>
  </si>
  <si>
    <t>Lithium Batteries</t>
  </si>
  <si>
    <t>Other Batteries</t>
  </si>
  <si>
    <t xml:space="preserve">E-waste </t>
  </si>
  <si>
    <t>Photovoltaic cells</t>
  </si>
  <si>
    <t xml:space="preserve">Catalysts </t>
  </si>
  <si>
    <t>Concrete</t>
  </si>
  <si>
    <t>Concrete washout</t>
  </si>
  <si>
    <t>Asphalt</t>
  </si>
  <si>
    <t>Bricks and Pavers</t>
  </si>
  <si>
    <t>Tiles and Ceramics</t>
  </si>
  <si>
    <t>Unprocessed Rubble</t>
  </si>
  <si>
    <t>Plasterboard</t>
  </si>
  <si>
    <t>Fibre cement</t>
  </si>
  <si>
    <t>Timber</t>
  </si>
  <si>
    <t>Green waste</t>
  </si>
  <si>
    <t>Sawmill residuals</t>
  </si>
  <si>
    <t>Agricultural residuals</t>
  </si>
  <si>
    <t>Manure</t>
  </si>
  <si>
    <t>Abattoir waste</t>
  </si>
  <si>
    <t>Cotton gin trash</t>
  </si>
  <si>
    <t>Vegetable Oil</t>
  </si>
  <si>
    <t xml:space="preserve">Waste food  </t>
  </si>
  <si>
    <t>Food processing waste</t>
  </si>
  <si>
    <t>Mineral oil</t>
  </si>
  <si>
    <t xml:space="preserve">Biosolids </t>
  </si>
  <si>
    <t>Grease trap waste &amp; sludges</t>
  </si>
  <si>
    <t>Other putrescible waste</t>
  </si>
  <si>
    <t>Oily water</t>
  </si>
  <si>
    <t>Fly Ash</t>
  </si>
  <si>
    <t>Bottom/Other Ash</t>
  </si>
  <si>
    <t>Drilling mud</t>
  </si>
  <si>
    <t>Foundry Sand</t>
  </si>
  <si>
    <t>Water Treatment Residuals</t>
  </si>
  <si>
    <t>Tyres</t>
  </si>
  <si>
    <t>Other rubber</t>
  </si>
  <si>
    <t>Paint, solvents &amp; chemicals</t>
  </si>
  <si>
    <t>Textiles</t>
  </si>
  <si>
    <t>Tip Shop</t>
  </si>
  <si>
    <t>Commercial &amp; Industrial Waste NEC</t>
  </si>
  <si>
    <t>Constructon &amp; Demolition Waste NEC</t>
  </si>
  <si>
    <t>2023-24 total</t>
  </si>
  <si>
    <t>Queensland</t>
  </si>
  <si>
    <t>Interstate</t>
  </si>
  <si>
    <t>Overseas</t>
  </si>
  <si>
    <t>Last reported point for recovery</t>
  </si>
  <si>
    <t>Proportion of amount recovered</t>
  </si>
  <si>
    <t>* Recovered in Queensland means the material was either fully recovered by the reporting entity or was sent to another (non-reporting) operator in Queensland for further processing.  It is possible that materials last tracked to a Queensland site were subseqently sent interstate or overseas.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</si>
</sst>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right" vertical="center" indent="6"/>
    </xf>
    <xf numFmtId="3" fontId="3" fillId="2" borderId="4" xfId="0" applyNumberFormat="1" applyFont="1" applyFill="1" applyBorder="1" applyAlignment="1">
      <alignment horizontal="right" vertical="center" indent="6"/>
    </xf>
    <xf numFmtId="3" fontId="2" fillId="3" borderId="2" xfId="0" applyNumberFormat="1" applyFont="1" applyFill="1" applyBorder="1" applyAlignment="1">
      <alignment horizontal="right" vertical="center" wrapText="1" indent="5"/>
    </xf>
    <xf numFmtId="3" fontId="0" fillId="2" borderId="2" xfId="0" applyNumberFormat="1" applyFill="1" applyBorder="1" applyAlignment="1">
      <alignment horizontal="right" indent="6"/>
    </xf>
    <xf numFmtId="3" fontId="3" fillId="2" borderId="5" xfId="0" applyNumberFormat="1" applyFont="1" applyFill="1" applyBorder="1" applyAlignment="1">
      <alignment horizontal="right" vertical="center" indent="6"/>
    </xf>
    <xf numFmtId="0" fontId="2" fillId="2" borderId="2" xfId="0" applyFont="1" applyFill="1" applyBorder="1" applyAlignment="1">
      <alignment vertical="center"/>
    </xf>
    <xf numFmtId="0" fontId="0" fillId="2" borderId="6" xfId="0" applyFill="1" applyBorder="1"/>
    <xf numFmtId="0" fontId="2" fillId="3" borderId="3" xfId="0" applyFont="1" applyFill="1" applyBorder="1" applyAlignment="1">
      <alignment horizontal="right" vertical="center" wrapText="1" indent="5"/>
    </xf>
    <xf numFmtId="0" fontId="0" fillId="2" borderId="2" xfId="0" applyFill="1" applyBorder="1"/>
    <xf numFmtId="0" fontId="0" fillId="2" borderId="7" xfId="0" applyFill="1" applyBorder="1"/>
    <xf numFmtId="0" fontId="2" fillId="3" borderId="6" xfId="0" applyFont="1" applyFill="1" applyBorder="1" applyAlignment="1">
      <alignment horizontal="right" vertical="center" wrapText="1" indent="5"/>
    </xf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right" vertical="center" indent="6"/>
    </xf>
    <xf numFmtId="0" fontId="3" fillId="3" borderId="2" xfId="0" applyFont="1" applyFill="1" applyBorder="1" applyAlignment="1">
      <alignment horizontal="right" vertical="center" indent="6"/>
    </xf>
    <xf numFmtId="0" fontId="3" fillId="3" borderId="2" xfId="0" applyFont="1" applyFill="1" applyBorder="1" applyAlignment="1">
      <alignment vertical="center"/>
    </xf>
    <xf numFmtId="10" fontId="3" fillId="3" borderId="2" xfId="0" applyNumberFormat="1" applyFont="1" applyFill="1" applyBorder="1" applyAlignment="1">
      <alignment horizontal="right" vertical="center" indent="6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3" fontId="3" fillId="2" borderId="3" xfId="0" applyNumberFormat="1" applyFont="1" applyFill="1" applyBorder="1" applyAlignment="1">
      <alignment horizontal="right" vertical="center" indent="6"/>
    </xf>
    <xf numFmtId="3" fontId="3" fillId="2" borderId="8" xfId="0" applyNumberFormat="1" applyFont="1" applyFill="1" applyBorder="1" applyAlignment="1">
      <alignment horizontal="right" vertical="center" indent="6"/>
    </xf>
    <xf numFmtId="3" fontId="2" fillId="3" borderId="3" xfId="0" applyNumberFormat="1" applyFont="1" applyFill="1" applyBorder="1" applyAlignment="1">
      <alignment horizontal="right" vertical="center" wrapText="1" indent="5"/>
    </xf>
    <xf numFmtId="3" fontId="2" fillId="3" borderId="6" xfId="0" applyNumberFormat="1" applyFont="1" applyFill="1" applyBorder="1" applyAlignment="1">
      <alignment horizontal="right" vertical="center" indent="6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3" fontId="3" fillId="2" borderId="9" xfId="0" applyNumberFormat="1" applyFont="1" applyFill="1" applyBorder="1" applyAlignment="1">
      <alignment horizontal="right" vertical="center" indent="6"/>
    </xf>
    <xf numFmtId="3" fontId="2" fillId="3" borderId="9" xfId="0" applyNumberFormat="1" applyFont="1" applyFill="1" applyBorder="1" applyAlignment="1">
      <alignment horizontal="right" vertical="center" wrapText="1" indent="5"/>
    </xf>
    <xf numFmtId="0" fontId="0" fillId="2" borderId="4" xfId="0" applyFill="1" applyBorder="1"/>
    <xf numFmtId="3" fontId="0" fillId="2" borderId="9" xfId="0" applyNumberFormat="1" applyFill="1" applyBorder="1"/>
    <xf numFmtId="0" fontId="2" fillId="3" borderId="9" xfId="0" applyFont="1" applyFill="1" applyBorder="1" applyAlignment="1">
      <alignment horizontal="right" vertical="center" wrapText="1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3D41-5F40-4645-9ED2-AB0993F394F8}">
  <dimension ref="A2:H71"/>
  <sheetViews>
    <sheetView tabSelected="1" workbookViewId="0">
      <selection activeCell="C66" sqref="C66"/>
    </sheetView>
  </sheetViews>
  <sheetFormatPr defaultColWidth="38.85546875" defaultRowHeight="15" x14ac:dyDescent="0.25"/>
  <cols>
    <col min="2" max="8" width="24.28515625" customWidth="1"/>
  </cols>
  <sheetData>
    <row r="2" spans="1:8" x14ac:dyDescent="0.25">
      <c r="A2" s="1" t="s">
        <v>0</v>
      </c>
      <c r="B2" s="1"/>
      <c r="C2" s="1"/>
      <c r="D2" s="2"/>
      <c r="E2" s="2"/>
      <c r="F2" s="2"/>
      <c r="G2" s="2"/>
      <c r="H2" s="2"/>
    </row>
    <row r="4" spans="1:8" ht="30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8" x14ac:dyDescent="0.25">
      <c r="A5" s="6" t="s">
        <v>9</v>
      </c>
      <c r="B5" s="7">
        <f>4854+100701</f>
        <v>105555</v>
      </c>
      <c r="C5" s="7"/>
      <c r="D5" s="7">
        <f>1571+6813</f>
        <v>8384</v>
      </c>
      <c r="E5" s="7"/>
      <c r="F5" s="7"/>
      <c r="G5" s="8"/>
      <c r="H5" s="9">
        <f>SUM(B5:G5)</f>
        <v>113939</v>
      </c>
    </row>
    <row r="6" spans="1:8" x14ac:dyDescent="0.25">
      <c r="A6" s="6" t="s">
        <v>10</v>
      </c>
      <c r="B6" s="7">
        <f>3053+21551</f>
        <v>24604</v>
      </c>
      <c r="C6" s="7"/>
      <c r="D6" s="7"/>
      <c r="E6" s="7"/>
      <c r="F6" s="7"/>
      <c r="G6" s="8"/>
      <c r="H6" s="9">
        <f t="shared" ref="H6:H63" si="0">SUM(B6:G6)</f>
        <v>24604</v>
      </c>
    </row>
    <row r="7" spans="1:8" x14ac:dyDescent="0.25">
      <c r="A7" s="6" t="s">
        <v>11</v>
      </c>
      <c r="B7" s="7">
        <f>28157+96431</f>
        <v>124588</v>
      </c>
      <c r="C7" s="7"/>
      <c r="D7" s="7">
        <v>22460</v>
      </c>
      <c r="E7" s="7"/>
      <c r="F7" s="7">
        <v>53395</v>
      </c>
      <c r="G7" s="8"/>
      <c r="H7" s="9">
        <f t="shared" si="0"/>
        <v>200443</v>
      </c>
    </row>
    <row r="8" spans="1:8" x14ac:dyDescent="0.25">
      <c r="A8" s="6" t="s">
        <v>12</v>
      </c>
      <c r="B8" s="7">
        <f>602+78934</f>
        <v>79536</v>
      </c>
      <c r="C8" s="7"/>
      <c r="D8" s="7">
        <v>118060</v>
      </c>
      <c r="E8" s="7"/>
      <c r="F8" s="7">
        <v>138918</v>
      </c>
      <c r="G8" s="8"/>
      <c r="H8" s="9">
        <f t="shared" si="0"/>
        <v>336514</v>
      </c>
    </row>
    <row r="9" spans="1:8" x14ac:dyDescent="0.25">
      <c r="A9" s="6" t="s">
        <v>13</v>
      </c>
      <c r="B9" s="7"/>
      <c r="C9" s="7"/>
      <c r="D9" s="7"/>
      <c r="E9" s="7"/>
      <c r="F9" s="7">
        <v>1000</v>
      </c>
      <c r="G9" s="8"/>
      <c r="H9" s="9">
        <f t="shared" si="0"/>
        <v>1000</v>
      </c>
    </row>
    <row r="10" spans="1:8" x14ac:dyDescent="0.25">
      <c r="A10" s="6" t="s">
        <v>14</v>
      </c>
      <c r="B10" s="7">
        <v>51</v>
      </c>
      <c r="C10" s="7"/>
      <c r="D10" s="7">
        <v>6070</v>
      </c>
      <c r="E10" s="7"/>
      <c r="F10" s="7">
        <v>1432</v>
      </c>
      <c r="G10" s="8"/>
      <c r="H10" s="9">
        <f t="shared" si="0"/>
        <v>7553</v>
      </c>
    </row>
    <row r="11" spans="1:8" x14ac:dyDescent="0.25">
      <c r="A11" s="6" t="s">
        <v>15</v>
      </c>
      <c r="B11" s="7">
        <f>16+12468+185</f>
        <v>12669</v>
      </c>
      <c r="C11" s="7"/>
      <c r="D11" s="7">
        <v>6533</v>
      </c>
      <c r="E11" s="7"/>
      <c r="F11" s="7">
        <v>551</v>
      </c>
      <c r="G11" s="8"/>
      <c r="H11" s="9">
        <f t="shared" si="0"/>
        <v>19753</v>
      </c>
    </row>
    <row r="12" spans="1:8" x14ac:dyDescent="0.25">
      <c r="A12" s="6" t="s">
        <v>16</v>
      </c>
      <c r="B12" s="10">
        <f>2+23</f>
        <v>25</v>
      </c>
      <c r="C12" s="7"/>
      <c r="D12" s="10"/>
      <c r="E12" s="7"/>
      <c r="F12" s="10"/>
      <c r="G12" s="8"/>
      <c r="H12" s="9">
        <f t="shared" si="0"/>
        <v>25</v>
      </c>
    </row>
    <row r="13" spans="1:8" x14ac:dyDescent="0.25">
      <c r="A13" s="6" t="s">
        <v>17</v>
      </c>
      <c r="B13" s="7">
        <v>2134</v>
      </c>
      <c r="C13" s="7"/>
      <c r="D13" s="7">
        <v>120</v>
      </c>
      <c r="E13" s="7"/>
      <c r="F13" s="7">
        <v>4081</v>
      </c>
      <c r="G13" s="8"/>
      <c r="H13" s="9">
        <f t="shared" si="0"/>
        <v>6335</v>
      </c>
    </row>
    <row r="14" spans="1:8" x14ac:dyDescent="0.25">
      <c r="A14" s="6" t="s">
        <v>18</v>
      </c>
      <c r="B14" s="7">
        <v>3719</v>
      </c>
      <c r="C14" s="7"/>
      <c r="D14" s="7">
        <v>1500</v>
      </c>
      <c r="E14" s="7"/>
      <c r="F14" s="7">
        <v>1013</v>
      </c>
      <c r="G14" s="8"/>
      <c r="H14" s="9">
        <f t="shared" si="0"/>
        <v>6232</v>
      </c>
    </row>
    <row r="15" spans="1:8" x14ac:dyDescent="0.25">
      <c r="A15" s="6" t="s">
        <v>19</v>
      </c>
      <c r="B15" s="7">
        <v>691</v>
      </c>
      <c r="C15" s="7"/>
      <c r="D15" s="7">
        <v>30</v>
      </c>
      <c r="E15" s="7"/>
      <c r="F15" s="7">
        <v>135</v>
      </c>
      <c r="G15" s="8"/>
      <c r="H15" s="9">
        <f t="shared" si="0"/>
        <v>856</v>
      </c>
    </row>
    <row r="16" spans="1:8" x14ac:dyDescent="0.25">
      <c r="A16" s="6" t="s">
        <v>20</v>
      </c>
      <c r="B16" s="7"/>
      <c r="C16" s="7"/>
      <c r="D16" s="7">
        <v>1081</v>
      </c>
      <c r="E16" s="7"/>
      <c r="F16" s="7">
        <v>180</v>
      </c>
      <c r="G16" s="8"/>
      <c r="H16" s="9">
        <f t="shared" si="0"/>
        <v>1261</v>
      </c>
    </row>
    <row r="17" spans="1:8" x14ac:dyDescent="0.25">
      <c r="A17" s="6" t="s">
        <v>21</v>
      </c>
      <c r="B17" s="7"/>
      <c r="C17" s="7"/>
      <c r="D17" s="7">
        <v>204</v>
      </c>
      <c r="E17" s="7"/>
      <c r="F17" s="7"/>
      <c r="G17" s="8"/>
      <c r="H17" s="9">
        <f t="shared" si="0"/>
        <v>204</v>
      </c>
    </row>
    <row r="18" spans="1:8" x14ac:dyDescent="0.25">
      <c r="A18" s="6" t="s">
        <v>22</v>
      </c>
      <c r="B18" s="7"/>
      <c r="C18" s="7"/>
      <c r="D18" s="7"/>
      <c r="E18" s="7"/>
      <c r="F18" s="7">
        <v>5695</v>
      </c>
      <c r="G18" s="8"/>
      <c r="H18" s="9">
        <f t="shared" si="0"/>
        <v>5695</v>
      </c>
    </row>
    <row r="19" spans="1:8" x14ac:dyDescent="0.25">
      <c r="A19" s="6" t="s">
        <v>23</v>
      </c>
      <c r="B19" s="7">
        <f>264+3754+243</f>
        <v>4261</v>
      </c>
      <c r="C19" s="7"/>
      <c r="D19" s="7">
        <v>181149</v>
      </c>
      <c r="E19" s="7"/>
      <c r="F19" s="7">
        <v>742754</v>
      </c>
      <c r="G19" s="8"/>
      <c r="H19" s="9">
        <f t="shared" si="0"/>
        <v>928164</v>
      </c>
    </row>
    <row r="20" spans="1:8" x14ac:dyDescent="0.25">
      <c r="A20" s="6" t="s">
        <v>24</v>
      </c>
      <c r="B20" s="7"/>
      <c r="C20" s="7"/>
      <c r="D20" s="7">
        <v>138</v>
      </c>
      <c r="E20" s="7"/>
      <c r="F20" s="7">
        <v>20952</v>
      </c>
      <c r="G20" s="8"/>
      <c r="H20" s="9">
        <f t="shared" si="0"/>
        <v>21090</v>
      </c>
    </row>
    <row r="21" spans="1:8" x14ac:dyDescent="0.25">
      <c r="A21" s="6" t="s">
        <v>25</v>
      </c>
      <c r="B21" s="7"/>
      <c r="C21" s="7"/>
      <c r="D21" s="7">
        <v>360</v>
      </c>
      <c r="E21" s="7"/>
      <c r="F21" s="7">
        <v>44497</v>
      </c>
      <c r="G21" s="8"/>
      <c r="H21" s="9">
        <f t="shared" si="0"/>
        <v>44857</v>
      </c>
    </row>
    <row r="22" spans="1:8" x14ac:dyDescent="0.25">
      <c r="A22" s="6" t="s">
        <v>26</v>
      </c>
      <c r="B22" s="7">
        <f>4+1</f>
        <v>5</v>
      </c>
      <c r="C22" s="7"/>
      <c r="D22" s="7">
        <v>1626</v>
      </c>
      <c r="E22" s="7"/>
      <c r="F22" s="7">
        <v>68601</v>
      </c>
      <c r="G22" s="8"/>
      <c r="H22" s="9">
        <f t="shared" si="0"/>
        <v>70232</v>
      </c>
    </row>
    <row r="23" spans="1:8" x14ac:dyDescent="0.25">
      <c r="A23" s="6" t="s">
        <v>27</v>
      </c>
      <c r="B23" s="7">
        <v>35885</v>
      </c>
      <c r="C23" s="7"/>
      <c r="D23" s="7">
        <v>8502</v>
      </c>
      <c r="E23" s="7"/>
      <c r="F23" s="7"/>
      <c r="G23" s="8"/>
      <c r="H23" s="9">
        <f t="shared" si="0"/>
        <v>44387</v>
      </c>
    </row>
    <row r="24" spans="1:8" x14ac:dyDescent="0.25">
      <c r="A24" s="6" t="s">
        <v>28</v>
      </c>
      <c r="B24" s="7"/>
      <c r="C24" s="7"/>
      <c r="D24" s="7">
        <v>2</v>
      </c>
      <c r="E24" s="7"/>
      <c r="F24" s="7"/>
      <c r="G24" s="8"/>
      <c r="H24" s="9">
        <f t="shared" si="0"/>
        <v>2</v>
      </c>
    </row>
    <row r="25" spans="1:8" x14ac:dyDescent="0.25">
      <c r="A25" s="6" t="s">
        <v>29</v>
      </c>
      <c r="B25" s="7"/>
      <c r="C25" s="7"/>
      <c r="D25" s="7">
        <v>57</v>
      </c>
      <c r="E25" s="7"/>
      <c r="F25" s="7"/>
      <c r="G25" s="8"/>
      <c r="H25" s="9">
        <f t="shared" si="0"/>
        <v>57</v>
      </c>
    </row>
    <row r="26" spans="1:8" x14ac:dyDescent="0.25">
      <c r="A26" s="6" t="s">
        <v>30</v>
      </c>
      <c r="B26" s="10">
        <v>6548</v>
      </c>
      <c r="C26" s="7"/>
      <c r="D26" s="10">
        <v>14</v>
      </c>
      <c r="E26" s="7"/>
      <c r="F26" s="10">
        <v>1164</v>
      </c>
      <c r="G26" s="8"/>
      <c r="H26" s="9">
        <f t="shared" si="0"/>
        <v>7726</v>
      </c>
    </row>
    <row r="27" spans="1:8" x14ac:dyDescent="0.25">
      <c r="A27" s="6" t="s">
        <v>31</v>
      </c>
      <c r="B27" s="10">
        <v>5</v>
      </c>
      <c r="C27" s="7"/>
      <c r="D27" s="10">
        <v>11</v>
      </c>
      <c r="E27" s="7"/>
      <c r="F27" s="10"/>
      <c r="G27" s="8"/>
      <c r="H27" s="9">
        <f t="shared" si="0"/>
        <v>16</v>
      </c>
    </row>
    <row r="28" spans="1:8" x14ac:dyDescent="0.25">
      <c r="A28" s="6" t="s">
        <v>32</v>
      </c>
      <c r="B28" s="7">
        <v>64</v>
      </c>
      <c r="C28" s="7"/>
      <c r="D28" s="7">
        <v>48</v>
      </c>
      <c r="E28" s="7"/>
      <c r="F28" s="7"/>
      <c r="G28" s="8"/>
      <c r="H28" s="9">
        <f t="shared" si="0"/>
        <v>112</v>
      </c>
    </row>
    <row r="29" spans="1:8" x14ac:dyDescent="0.25">
      <c r="A29" s="6" t="s">
        <v>33</v>
      </c>
      <c r="B29" s="7">
        <f>98882+1051+1193784+318106</f>
        <v>1611823</v>
      </c>
      <c r="C29" s="7"/>
      <c r="D29" s="7"/>
      <c r="E29" s="7"/>
      <c r="F29" s="7"/>
      <c r="G29" s="8"/>
      <c r="H29" s="9">
        <f t="shared" si="0"/>
        <v>1611823</v>
      </c>
    </row>
    <row r="30" spans="1:8" x14ac:dyDescent="0.25">
      <c r="A30" s="6" t="s">
        <v>34</v>
      </c>
      <c r="B30" s="7">
        <f>210884+18811</f>
        <v>229695</v>
      </c>
      <c r="C30" s="7"/>
      <c r="D30" s="7"/>
      <c r="E30" s="7"/>
      <c r="F30" s="7"/>
      <c r="G30" s="8"/>
      <c r="H30" s="9">
        <f t="shared" si="0"/>
        <v>229695</v>
      </c>
    </row>
    <row r="31" spans="1:8" x14ac:dyDescent="0.25">
      <c r="A31" s="6" t="s">
        <v>35</v>
      </c>
      <c r="B31" s="7">
        <f>120532+101278+13316</f>
        <v>235126</v>
      </c>
      <c r="C31" s="7"/>
      <c r="D31" s="7"/>
      <c r="E31" s="7"/>
      <c r="F31" s="7"/>
      <c r="G31" s="8"/>
      <c r="H31" s="9">
        <f t="shared" si="0"/>
        <v>235126</v>
      </c>
    </row>
    <row r="32" spans="1:8" x14ac:dyDescent="0.25">
      <c r="A32" s="6" t="s">
        <v>36</v>
      </c>
      <c r="B32" s="7">
        <f>687+48419+36322</f>
        <v>85428</v>
      </c>
      <c r="C32" s="7"/>
      <c r="D32" s="7"/>
      <c r="E32" s="7"/>
      <c r="F32" s="7"/>
      <c r="G32" s="8"/>
      <c r="H32" s="9">
        <f t="shared" si="0"/>
        <v>85428</v>
      </c>
    </row>
    <row r="33" spans="1:8" x14ac:dyDescent="0.25">
      <c r="A33" s="6" t="s">
        <v>37</v>
      </c>
      <c r="B33" s="7">
        <f>1+940</f>
        <v>941</v>
      </c>
      <c r="C33" s="7"/>
      <c r="D33" s="7"/>
      <c r="E33" s="7"/>
      <c r="F33" s="7"/>
      <c r="G33" s="8"/>
      <c r="H33" s="9">
        <f t="shared" si="0"/>
        <v>941</v>
      </c>
    </row>
    <row r="34" spans="1:8" x14ac:dyDescent="0.25">
      <c r="A34" s="12" t="s">
        <v>38</v>
      </c>
      <c r="B34" s="7">
        <f>10707+9459</f>
        <v>20166</v>
      </c>
      <c r="C34" s="7"/>
      <c r="D34" s="7"/>
      <c r="E34" s="7"/>
      <c r="F34" s="7"/>
      <c r="G34" s="8"/>
      <c r="H34" s="9">
        <f t="shared" si="0"/>
        <v>20166</v>
      </c>
    </row>
    <row r="35" spans="1:8" x14ac:dyDescent="0.25">
      <c r="A35" s="6" t="s">
        <v>39</v>
      </c>
      <c r="B35" s="7">
        <v>5030</v>
      </c>
      <c r="C35" s="7"/>
      <c r="D35" s="7"/>
      <c r="E35" s="7"/>
      <c r="F35" s="7"/>
      <c r="G35" s="8"/>
      <c r="H35" s="9">
        <f t="shared" si="0"/>
        <v>5030</v>
      </c>
    </row>
    <row r="36" spans="1:8" x14ac:dyDescent="0.25">
      <c r="A36" s="6" t="s">
        <v>40</v>
      </c>
      <c r="B36" s="7">
        <v>46315</v>
      </c>
      <c r="C36" s="7"/>
      <c r="D36" s="7"/>
      <c r="E36" s="7"/>
      <c r="F36" s="7"/>
      <c r="G36" s="8"/>
      <c r="H36" s="9">
        <f t="shared" si="0"/>
        <v>46315</v>
      </c>
    </row>
    <row r="37" spans="1:8" x14ac:dyDescent="0.25">
      <c r="A37" s="6" t="s">
        <v>41</v>
      </c>
      <c r="B37" s="7">
        <f>4227+7807+231243+645</f>
        <v>243922</v>
      </c>
      <c r="C37" s="7">
        <f>3100+24785+4715</f>
        <v>32600</v>
      </c>
      <c r="D37" s="7">
        <v>36</v>
      </c>
      <c r="E37" s="7"/>
      <c r="F37" s="7"/>
      <c r="G37" s="8"/>
      <c r="H37" s="9">
        <f t="shared" si="0"/>
        <v>276558</v>
      </c>
    </row>
    <row r="38" spans="1:8" x14ac:dyDescent="0.25">
      <c r="A38" s="6" t="s">
        <v>42</v>
      </c>
      <c r="B38" s="7">
        <f>286358+80953+388962+246</f>
        <v>756519</v>
      </c>
      <c r="C38" s="11">
        <f>4555+596</f>
        <v>5151</v>
      </c>
      <c r="D38" s="7"/>
      <c r="E38" s="7"/>
      <c r="F38" s="7"/>
      <c r="G38" s="8"/>
      <c r="H38" s="9">
        <f t="shared" si="0"/>
        <v>761670</v>
      </c>
    </row>
    <row r="39" spans="1:8" x14ac:dyDescent="0.25">
      <c r="A39" s="6" t="s">
        <v>43</v>
      </c>
      <c r="B39" s="7">
        <v>293009</v>
      </c>
      <c r="C39" s="7">
        <v>1228</v>
      </c>
      <c r="D39" s="7"/>
      <c r="E39" s="7"/>
      <c r="F39" s="7"/>
      <c r="G39" s="8"/>
      <c r="H39" s="9">
        <f t="shared" si="0"/>
        <v>294237</v>
      </c>
    </row>
    <row r="40" spans="1:8" x14ac:dyDescent="0.25">
      <c r="A40" s="6" t="s">
        <v>44</v>
      </c>
      <c r="B40" s="7">
        <v>67607</v>
      </c>
      <c r="C40" s="7"/>
      <c r="D40" s="7"/>
      <c r="E40" s="7"/>
      <c r="F40" s="7"/>
      <c r="G40" s="8"/>
      <c r="H40" s="9">
        <f t="shared" si="0"/>
        <v>67607</v>
      </c>
    </row>
    <row r="41" spans="1:8" x14ac:dyDescent="0.25">
      <c r="A41" s="6" t="s">
        <v>45</v>
      </c>
      <c r="B41" s="7">
        <v>187168</v>
      </c>
      <c r="C41" s="7"/>
      <c r="D41" s="7"/>
      <c r="E41" s="7"/>
      <c r="F41" s="7"/>
      <c r="G41" s="8"/>
      <c r="H41" s="9">
        <f t="shared" si="0"/>
        <v>187168</v>
      </c>
    </row>
    <row r="42" spans="1:8" x14ac:dyDescent="0.25">
      <c r="A42" s="6" t="s">
        <v>46</v>
      </c>
      <c r="B42" s="7">
        <v>118203</v>
      </c>
      <c r="C42" s="7"/>
      <c r="D42" s="7"/>
      <c r="E42" s="7"/>
      <c r="F42" s="7"/>
      <c r="G42" s="8"/>
      <c r="H42" s="9">
        <f t="shared" si="0"/>
        <v>118203</v>
      </c>
    </row>
    <row r="43" spans="1:8" x14ac:dyDescent="0.25">
      <c r="A43" s="6" t="s">
        <v>47</v>
      </c>
      <c r="B43" s="7">
        <v>5742</v>
      </c>
      <c r="C43" s="7"/>
      <c r="D43" s="7"/>
      <c r="E43" s="7"/>
      <c r="F43" s="7"/>
      <c r="G43" s="8"/>
      <c r="H43" s="9">
        <f t="shared" si="0"/>
        <v>5742</v>
      </c>
    </row>
    <row r="44" spans="1:8" x14ac:dyDescent="0.25">
      <c r="A44" s="6" t="s">
        <v>48</v>
      </c>
      <c r="B44" s="7">
        <v>20490</v>
      </c>
      <c r="C44" s="7">
        <v>168</v>
      </c>
      <c r="D44" s="7"/>
      <c r="E44" s="7"/>
      <c r="F44" s="7">
        <v>7198</v>
      </c>
      <c r="G44" s="8"/>
      <c r="H44" s="9">
        <f t="shared" si="0"/>
        <v>27856</v>
      </c>
    </row>
    <row r="45" spans="1:8" x14ac:dyDescent="0.25">
      <c r="A45" s="6" t="s">
        <v>49</v>
      </c>
      <c r="B45" s="7">
        <v>15075</v>
      </c>
      <c r="C45" s="7">
        <v>5190</v>
      </c>
      <c r="D45" s="7"/>
      <c r="E45" s="7"/>
      <c r="F45" s="7"/>
      <c r="G45" s="8"/>
      <c r="H45" s="9">
        <f t="shared" si="0"/>
        <v>20265</v>
      </c>
    </row>
    <row r="46" spans="1:8" x14ac:dyDescent="0.25">
      <c r="A46" s="6" t="s">
        <v>50</v>
      </c>
      <c r="B46" s="7">
        <v>80339</v>
      </c>
      <c r="C46" s="7"/>
      <c r="D46" s="7"/>
      <c r="E46" s="7"/>
      <c r="F46" s="7"/>
      <c r="G46" s="8"/>
      <c r="H46" s="9">
        <f t="shared" si="0"/>
        <v>80339</v>
      </c>
    </row>
    <row r="47" spans="1:8" x14ac:dyDescent="0.25">
      <c r="A47" s="6" t="s">
        <v>51</v>
      </c>
      <c r="B47" s="7">
        <v>94936</v>
      </c>
      <c r="C47" s="7">
        <f>1192+139</f>
        <v>1331</v>
      </c>
      <c r="D47" s="7">
        <v>10180</v>
      </c>
      <c r="E47" s="7"/>
      <c r="F47" s="7">
        <v>1901</v>
      </c>
      <c r="G47" s="8"/>
      <c r="H47" s="9">
        <f t="shared" si="0"/>
        <v>108348</v>
      </c>
    </row>
    <row r="48" spans="1:8" x14ac:dyDescent="0.25">
      <c r="A48" s="6" t="s">
        <v>52</v>
      </c>
      <c r="B48" s="7">
        <f>509+17818+82794</f>
        <v>101121</v>
      </c>
      <c r="C48" s="7"/>
      <c r="D48" s="7"/>
      <c r="E48" s="7"/>
      <c r="F48" s="7"/>
      <c r="G48" s="8"/>
      <c r="H48" s="9">
        <f t="shared" si="0"/>
        <v>101121</v>
      </c>
    </row>
    <row r="49" spans="1:8" x14ac:dyDescent="0.25">
      <c r="A49" s="6" t="s">
        <v>53</v>
      </c>
      <c r="B49" s="7">
        <f>91229+1896</f>
        <v>93125</v>
      </c>
      <c r="C49" s="7"/>
      <c r="D49" s="7"/>
      <c r="E49" s="7"/>
      <c r="F49" s="7"/>
      <c r="G49" s="8"/>
      <c r="H49" s="9">
        <f t="shared" si="0"/>
        <v>93125</v>
      </c>
    </row>
    <row r="50" spans="1:8" x14ac:dyDescent="0.25">
      <c r="A50" s="6" t="s">
        <v>54</v>
      </c>
      <c r="B50" s="7">
        <f>55789+1194</f>
        <v>56983</v>
      </c>
      <c r="C50" s="7"/>
      <c r="D50" s="7"/>
      <c r="E50" s="7"/>
      <c r="F50" s="7"/>
      <c r="G50" s="8"/>
      <c r="H50" s="9">
        <f t="shared" si="0"/>
        <v>56983</v>
      </c>
    </row>
    <row r="51" spans="1:8" x14ac:dyDescent="0.25">
      <c r="A51" s="6" t="s">
        <v>55</v>
      </c>
      <c r="B51" s="7">
        <v>15750</v>
      </c>
      <c r="C51" s="7">
        <v>10901</v>
      </c>
      <c r="D51" s="7"/>
      <c r="E51" s="7"/>
      <c r="F51" s="7"/>
      <c r="G51" s="8"/>
      <c r="H51" s="9">
        <f t="shared" si="0"/>
        <v>26651</v>
      </c>
    </row>
    <row r="52" spans="1:8" x14ac:dyDescent="0.25">
      <c r="A52" s="6" t="s">
        <v>56</v>
      </c>
      <c r="B52" s="7">
        <f>39870+1039028</f>
        <v>1078898</v>
      </c>
      <c r="C52" s="7"/>
      <c r="D52" s="7"/>
      <c r="E52" s="7"/>
      <c r="F52" s="7"/>
      <c r="G52" s="8"/>
      <c r="H52" s="9">
        <f t="shared" si="0"/>
        <v>1078898</v>
      </c>
    </row>
    <row r="53" spans="1:8" x14ac:dyDescent="0.25">
      <c r="A53" s="6" t="s">
        <v>57</v>
      </c>
      <c r="B53" s="7">
        <f>7646+24587</f>
        <v>32233</v>
      </c>
      <c r="C53" s="7"/>
      <c r="D53" s="7">
        <v>4718</v>
      </c>
      <c r="E53" s="7"/>
      <c r="F53" s="7"/>
      <c r="G53" s="8"/>
      <c r="H53" s="9">
        <f t="shared" si="0"/>
        <v>36951</v>
      </c>
    </row>
    <row r="54" spans="1:8" x14ac:dyDescent="0.25">
      <c r="A54" s="6" t="s">
        <v>58</v>
      </c>
      <c r="B54" s="7">
        <f>38710+2219</f>
        <v>40929</v>
      </c>
      <c r="C54" s="7"/>
      <c r="D54" s="7"/>
      <c r="E54" s="7"/>
      <c r="F54" s="7"/>
      <c r="G54" s="8"/>
      <c r="H54" s="9">
        <f t="shared" si="0"/>
        <v>40929</v>
      </c>
    </row>
    <row r="55" spans="1:8" x14ac:dyDescent="0.25">
      <c r="A55" s="6" t="s">
        <v>59</v>
      </c>
      <c r="B55" s="7">
        <v>5001</v>
      </c>
      <c r="C55" s="7"/>
      <c r="D55" s="7"/>
      <c r="E55" s="7"/>
      <c r="F55" s="7"/>
      <c r="G55" s="8"/>
      <c r="H55" s="9">
        <f t="shared" si="0"/>
        <v>5001</v>
      </c>
    </row>
    <row r="56" spans="1:8" x14ac:dyDescent="0.25">
      <c r="A56" s="6" t="s">
        <v>60</v>
      </c>
      <c r="B56" s="7">
        <f>1465+26699</f>
        <v>28164</v>
      </c>
      <c r="C56" s="7"/>
      <c r="D56" s="7"/>
      <c r="E56" s="7"/>
      <c r="F56" s="7"/>
      <c r="G56" s="8"/>
      <c r="H56" s="9">
        <f t="shared" si="0"/>
        <v>28164</v>
      </c>
    </row>
    <row r="57" spans="1:8" x14ac:dyDescent="0.25">
      <c r="A57" s="6" t="s">
        <v>61</v>
      </c>
      <c r="B57" s="7">
        <f>4+4824+11208+1859</f>
        <v>17895</v>
      </c>
      <c r="C57" s="7"/>
      <c r="D57" s="7">
        <v>30</v>
      </c>
      <c r="E57" s="7"/>
      <c r="F57" s="7">
        <v>21450</v>
      </c>
      <c r="G57" s="8">
        <v>33972</v>
      </c>
      <c r="H57" s="9">
        <f t="shared" si="0"/>
        <v>73347</v>
      </c>
    </row>
    <row r="58" spans="1:8" x14ac:dyDescent="0.25">
      <c r="A58" s="6" t="s">
        <v>62</v>
      </c>
      <c r="B58" s="7">
        <f>19+2800+874</f>
        <v>3693</v>
      </c>
      <c r="C58" s="7"/>
      <c r="D58" s="7"/>
      <c r="E58" s="7"/>
      <c r="F58" s="7"/>
      <c r="G58" s="8"/>
      <c r="H58" s="9">
        <f t="shared" si="0"/>
        <v>3693</v>
      </c>
    </row>
    <row r="59" spans="1:8" x14ac:dyDescent="0.25">
      <c r="A59" s="6" t="s">
        <v>63</v>
      </c>
      <c r="B59" s="7">
        <f>2912+323543</f>
        <v>326455</v>
      </c>
      <c r="C59" s="7">
        <v>1522</v>
      </c>
      <c r="D59" s="7">
        <v>1445</v>
      </c>
      <c r="E59" s="7"/>
      <c r="F59" s="7"/>
      <c r="G59" s="8">
        <v>1120</v>
      </c>
      <c r="H59" s="9">
        <f t="shared" si="0"/>
        <v>330542</v>
      </c>
    </row>
    <row r="60" spans="1:8" x14ac:dyDescent="0.25">
      <c r="A60" s="6" t="s">
        <v>64</v>
      </c>
      <c r="B60" s="7">
        <v>90</v>
      </c>
      <c r="C60" s="7"/>
      <c r="D60" s="7"/>
      <c r="E60" s="7"/>
      <c r="F60" s="7"/>
      <c r="G60" s="8"/>
      <c r="H60" s="9">
        <f t="shared" si="0"/>
        <v>90</v>
      </c>
    </row>
    <row r="61" spans="1:8" x14ac:dyDescent="0.25">
      <c r="A61" s="34" t="s">
        <v>65</v>
      </c>
      <c r="B61" s="30">
        <v>18297</v>
      </c>
      <c r="C61" s="30"/>
      <c r="D61" s="30"/>
      <c r="E61" s="30"/>
      <c r="F61" s="30"/>
      <c r="G61" s="31"/>
      <c r="H61" s="32">
        <f t="shared" si="0"/>
        <v>18297</v>
      </c>
    </row>
    <row r="62" spans="1:8" x14ac:dyDescent="0.25">
      <c r="A62" s="36" t="s">
        <v>66</v>
      </c>
      <c r="B62" s="37"/>
      <c r="C62" s="37">
        <v>2819</v>
      </c>
      <c r="D62" s="37"/>
      <c r="E62" s="37"/>
      <c r="F62" s="37"/>
      <c r="G62" s="37"/>
      <c r="H62" s="38">
        <f t="shared" si="0"/>
        <v>2819</v>
      </c>
    </row>
    <row r="63" spans="1:8" x14ac:dyDescent="0.25">
      <c r="A63" s="36" t="s">
        <v>67</v>
      </c>
      <c r="B63" s="37">
        <v>19364</v>
      </c>
      <c r="C63" s="37"/>
      <c r="D63" s="37">
        <v>20000</v>
      </c>
      <c r="E63" s="37"/>
      <c r="F63" s="37"/>
      <c r="G63" s="37"/>
      <c r="H63" s="38">
        <f t="shared" si="0"/>
        <v>39364</v>
      </c>
    </row>
    <row r="64" spans="1:8" x14ac:dyDescent="0.25">
      <c r="A64" s="39"/>
      <c r="B64" s="40"/>
      <c r="C64" s="40"/>
      <c r="D64" s="40"/>
      <c r="E64" s="40"/>
      <c r="F64" s="40"/>
      <c r="G64" s="40"/>
      <c r="H64" s="41"/>
    </row>
    <row r="65" spans="1:8" x14ac:dyDescent="0.25">
      <c r="A65" s="35" t="s">
        <v>68</v>
      </c>
      <c r="B65" s="33">
        <f>SUM(B5:B63)</f>
        <v>6355872</v>
      </c>
      <c r="C65" s="33">
        <f t="shared" ref="C65:H65" si="1">SUM(C5:C63)</f>
        <v>60910</v>
      </c>
      <c r="D65" s="33">
        <f t="shared" si="1"/>
        <v>392758</v>
      </c>
      <c r="E65" s="33">
        <f t="shared" si="1"/>
        <v>0</v>
      </c>
      <c r="F65" s="33">
        <f t="shared" si="1"/>
        <v>1114917</v>
      </c>
      <c r="G65" s="33">
        <f t="shared" si="1"/>
        <v>35092</v>
      </c>
      <c r="H65" s="33">
        <f t="shared" si="1"/>
        <v>7959549</v>
      </c>
    </row>
    <row r="66" spans="1:8" x14ac:dyDescent="0.25">
      <c r="A66" s="15"/>
      <c r="B66" s="13"/>
      <c r="C66" s="13"/>
      <c r="D66" s="13"/>
      <c r="E66" s="13"/>
      <c r="F66" s="13"/>
      <c r="G66" s="16"/>
      <c r="H66" s="17"/>
    </row>
    <row r="67" spans="1:8" x14ac:dyDescent="0.25">
      <c r="A67" s="18"/>
      <c r="B67" s="19" t="s">
        <v>69</v>
      </c>
      <c r="C67" s="20"/>
      <c r="D67" s="19" t="s">
        <v>70</v>
      </c>
      <c r="E67" s="20"/>
      <c r="F67" s="19" t="s">
        <v>71</v>
      </c>
      <c r="G67" s="21"/>
      <c r="H67" s="14"/>
    </row>
    <row r="68" spans="1:8" x14ac:dyDescent="0.25">
      <c r="A68" s="22" t="s">
        <v>72</v>
      </c>
      <c r="B68" s="23">
        <f>B65+C65</f>
        <v>6416782</v>
      </c>
      <c r="C68" s="24"/>
      <c r="D68" s="23">
        <f>D65</f>
        <v>392758</v>
      </c>
      <c r="E68" s="24"/>
      <c r="F68" s="23">
        <f>F65+G65</f>
        <v>1150009</v>
      </c>
      <c r="G68" s="25"/>
      <c r="H68" s="9"/>
    </row>
    <row r="69" spans="1:8" x14ac:dyDescent="0.25">
      <c r="A69" s="22" t="s">
        <v>73</v>
      </c>
      <c r="B69" s="26">
        <f>B68/H65</f>
        <v>0.80617406840513195</v>
      </c>
      <c r="C69" s="24"/>
      <c r="D69" s="26">
        <f>D68/H65</f>
        <v>4.9344253047503069E-2</v>
      </c>
      <c r="E69" s="24"/>
      <c r="F69" s="26">
        <f>F68/H65</f>
        <v>0.14448167854736493</v>
      </c>
      <c r="G69" s="25"/>
      <c r="H69" s="25"/>
    </row>
    <row r="70" spans="1:8" x14ac:dyDescent="0.25">
      <c r="A70" s="27"/>
      <c r="B70" s="28"/>
    </row>
    <row r="71" spans="1:8" x14ac:dyDescent="0.25">
      <c r="A71" s="29" t="s">
        <v>74</v>
      </c>
      <c r="B71" s="29"/>
      <c r="C71" s="29"/>
      <c r="D71" s="29"/>
      <c r="E71" s="29"/>
      <c r="F71" s="29"/>
      <c r="G71" s="29"/>
      <c r="H71" s="29"/>
    </row>
  </sheetData>
  <mergeCells count="1">
    <mergeCell ref="A71:H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Knight</dc:creator>
  <cp:lastModifiedBy>Laurence Knight</cp:lastModifiedBy>
  <dcterms:created xsi:type="dcterms:W3CDTF">2024-12-17T04:16:08Z</dcterms:created>
  <dcterms:modified xsi:type="dcterms:W3CDTF">2024-12-17T04:21:13Z</dcterms:modified>
</cp:coreProperties>
</file>